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h.WTECH\Documents\robot\Nephele 2\Lower Torso\"/>
    </mc:Choice>
  </mc:AlternateContent>
  <xr:revisionPtr revIDLastSave="0" documentId="8_{C572AA05-E997-4C85-A9A3-05C43199F77D}" xr6:coauthVersionLast="45" xr6:coauthVersionMax="45" xr10:uidLastSave="{00000000-0000-0000-0000-000000000000}"/>
  <bookViews>
    <workbookView xWindow="-103" yWindow="-103" windowWidth="33120" windowHeight="18120" xr2:uid="{05790AA3-300F-4A30-82C2-85A5CC2DE60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3" i="1" l="1"/>
  <c r="T22" i="1"/>
  <c r="R23" i="1"/>
  <c r="R22" i="1"/>
  <c r="S23" i="1"/>
  <c r="S22" i="1"/>
  <c r="K23" i="1"/>
  <c r="L13" i="1"/>
  <c r="L10" i="1"/>
  <c r="L11" i="1"/>
  <c r="L8" i="1"/>
  <c r="P22" i="1"/>
  <c r="J27" i="1" s="1"/>
  <c r="G27" i="1"/>
  <c r="N23" i="1"/>
  <c r="M23" i="1"/>
  <c r="N22" i="1"/>
  <c r="M22" i="1"/>
  <c r="K22" i="1"/>
  <c r="E23" i="1"/>
  <c r="I22" i="1"/>
  <c r="E22" i="1"/>
  <c r="O22" i="1" s="1"/>
  <c r="L9" i="1" l="1"/>
  <c r="J23" i="1"/>
  <c r="I23" i="1"/>
  <c r="L15" i="1"/>
  <c r="P23" i="1" s="1"/>
  <c r="K27" i="1" s="1"/>
  <c r="L12" i="1"/>
  <c r="O23" i="1"/>
  <c r="J22" i="1"/>
  <c r="G22" i="1" s="1"/>
  <c r="L4" i="1"/>
  <c r="K4" i="1"/>
  <c r="J4" i="1"/>
  <c r="I4" i="1"/>
  <c r="F20" i="1"/>
  <c r="H4" i="1"/>
  <c r="B9" i="1"/>
  <c r="E20" i="1"/>
  <c r="E19" i="1"/>
  <c r="G17" i="1"/>
  <c r="G16" i="1"/>
  <c r="G13" i="1"/>
  <c r="G12" i="1"/>
  <c r="G11" i="1"/>
  <c r="D5" i="1"/>
  <c r="E5" i="1"/>
  <c r="D4" i="1"/>
  <c r="E4" i="1"/>
  <c r="B14" i="1"/>
  <c r="B12" i="1"/>
  <c r="G23" i="1" l="1"/>
</calcChain>
</file>

<file path=xl/sharedStrings.xml><?xml version="1.0" encoding="utf-8"?>
<sst xmlns="http://schemas.openxmlformats.org/spreadsheetml/2006/main" count="53" uniqueCount="52">
  <si>
    <t>Teeth</t>
  </si>
  <si>
    <t>Tooth</t>
  </si>
  <si>
    <t>Diameter</t>
  </si>
  <si>
    <t>Radius</t>
  </si>
  <si>
    <t>Leg Gear</t>
  </si>
  <si>
    <t>Torso Gear</t>
  </si>
  <si>
    <t>inner tooth</t>
  </si>
  <si>
    <t>Outer inner ratio</t>
  </si>
  <si>
    <t>inner radius</t>
  </si>
  <si>
    <t>middle radius</t>
  </si>
  <si>
    <t>middle diam</t>
  </si>
  <si>
    <t>middel tooth</t>
  </si>
  <si>
    <t>Info about planetary gear tooth counts and stuff</t>
  </si>
  <si>
    <t>https://engineering.stackexchange.com/questions/13248/how-to-i-design-a-planetary-gear-with-a-gear-ratio-of-21-doubling-the-torque</t>
  </si>
  <si>
    <t>Sun</t>
  </si>
  <si>
    <t>Ring</t>
  </si>
  <si>
    <t>Planet Count</t>
  </si>
  <si>
    <t>Planet</t>
  </si>
  <si>
    <t>Distance from center</t>
  </si>
  <si>
    <t>Modules</t>
  </si>
  <si>
    <t>Sun Radius</t>
  </si>
  <si>
    <t>Planet Radius</t>
  </si>
  <si>
    <t>Ring Radius</t>
  </si>
  <si>
    <t>Helix Sun</t>
  </si>
  <si>
    <t>Helix Ring</t>
  </si>
  <si>
    <t>Helix Planet</t>
  </si>
  <si>
    <t>Helix Height</t>
  </si>
  <si>
    <t>Stage 1</t>
  </si>
  <si>
    <t>Stage 2</t>
  </si>
  <si>
    <t>Target BevelGear RPM</t>
  </si>
  <si>
    <t>Approx ratio</t>
  </si>
  <si>
    <t>Reduction</t>
  </si>
  <si>
    <t>Motor Max RPM</t>
  </si>
  <si>
    <t>Stg1</t>
  </si>
  <si>
    <t>Stg2</t>
  </si>
  <si>
    <t>Compound Gear</t>
  </si>
  <si>
    <t>Z1i</t>
  </si>
  <si>
    <t>Z2i</t>
  </si>
  <si>
    <t>Z3i</t>
  </si>
  <si>
    <t>Z1ii</t>
  </si>
  <si>
    <t>Z2ii</t>
  </si>
  <si>
    <t>Z3ii</t>
  </si>
  <si>
    <t>Ratio</t>
  </si>
  <si>
    <t>reversed direction, just below the 60RPM threshold</t>
  </si>
  <si>
    <t>pg 66</t>
  </si>
  <si>
    <t>http://www.geartechnology.com/issues/0614x/epicyclic_drives.pdf</t>
  </si>
  <si>
    <t>YoutTube "Gear Down For What?" Channel is great</t>
  </si>
  <si>
    <t>printing sun</t>
  </si>
  <si>
    <t>printing ring</t>
  </si>
  <si>
    <t>mm</t>
  </si>
  <si>
    <t>Print Buffer</t>
  </si>
  <si>
    <t>printing planets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</si>
</sst>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CE6A9-D8DE-48EA-997A-616E706A89E1}">
  <dimension ref="A3:T30"/>
  <sheetViews>
    <sheetView tabSelected="1" workbookViewId="0">
      <selection activeCell="D6" sqref="D6"/>
    </sheetView>
  </sheetViews>
  <sheetFormatPr defaultRowHeight="14.6" x14ac:dyDescent="0.4"/>
  <sheetData>
    <row r="3" spans="2:12" x14ac:dyDescent="0.4">
      <c r="C3" t="s">
        <v>0</v>
      </c>
      <c r="D3" t="s">
        <v>1</v>
      </c>
      <c r="E3" t="s">
        <v>2</v>
      </c>
      <c r="F3" t="s">
        <v>3</v>
      </c>
      <c r="G3" t="s">
        <v>8</v>
      </c>
      <c r="H3" t="s">
        <v>6</v>
      </c>
      <c r="J3" t="s">
        <v>9</v>
      </c>
      <c r="K3" t="s">
        <v>10</v>
      </c>
      <c r="L3" t="s">
        <v>11</v>
      </c>
    </row>
    <row r="4" spans="2:12" x14ac:dyDescent="0.4">
      <c r="B4" t="s">
        <v>4</v>
      </c>
      <c r="C4">
        <v>50</v>
      </c>
      <c r="D4">
        <f>E4/C4</f>
        <v>2.2400000000000002</v>
      </c>
      <c r="E4">
        <f>F4*2</f>
        <v>112</v>
      </c>
      <c r="F4">
        <v>56</v>
      </c>
      <c r="G4">
        <v>40</v>
      </c>
      <c r="H4">
        <f>G4*2/C4</f>
        <v>1.6</v>
      </c>
      <c r="I4">
        <f>G4*2</f>
        <v>80</v>
      </c>
      <c r="J4">
        <f>57.6-(17.3/2)</f>
        <v>48.95</v>
      </c>
      <c r="K4">
        <f>J4*2</f>
        <v>97.9</v>
      </c>
      <c r="L4">
        <f>K4/C4</f>
        <v>1.9580000000000002</v>
      </c>
    </row>
    <row r="5" spans="2:12" x14ac:dyDescent="0.4">
      <c r="B5" t="s">
        <v>5</v>
      </c>
      <c r="C5">
        <v>51</v>
      </c>
      <c r="D5">
        <f>E5/C5</f>
        <v>2.2392156862745098</v>
      </c>
      <c r="E5">
        <f>F5*2</f>
        <v>114.2</v>
      </c>
      <c r="F5">
        <v>57.1</v>
      </c>
    </row>
    <row r="7" spans="2:12" x14ac:dyDescent="0.4">
      <c r="K7" t="s">
        <v>35</v>
      </c>
      <c r="L7" t="s">
        <v>0</v>
      </c>
    </row>
    <row r="8" spans="2:12" x14ac:dyDescent="0.4">
      <c r="B8" t="s">
        <v>7</v>
      </c>
      <c r="E8" t="s">
        <v>46</v>
      </c>
      <c r="K8" t="s">
        <v>36</v>
      </c>
      <c r="L8">
        <f>B22</f>
        <v>16</v>
      </c>
    </row>
    <row r="9" spans="2:12" x14ac:dyDescent="0.4">
      <c r="B9">
        <f>40/56</f>
        <v>0.7142857142857143</v>
      </c>
      <c r="K9" t="s">
        <v>37</v>
      </c>
      <c r="L9">
        <f>E22</f>
        <v>24</v>
      </c>
    </row>
    <row r="10" spans="2:12" x14ac:dyDescent="0.4">
      <c r="K10" t="s">
        <v>38</v>
      </c>
      <c r="L10">
        <f>C22</f>
        <v>64</v>
      </c>
    </row>
    <row r="11" spans="2:12" x14ac:dyDescent="0.4">
      <c r="G11">
        <f>ATAN(40/40.8)</f>
        <v>0.77549749680945979</v>
      </c>
      <c r="K11" t="s">
        <v>39</v>
      </c>
      <c r="L11">
        <f>B23</f>
        <v>20</v>
      </c>
    </row>
    <row r="12" spans="2:12" x14ac:dyDescent="0.4">
      <c r="B12">
        <f>57.1-16.3</f>
        <v>40.799999999999997</v>
      </c>
      <c r="G12">
        <f>40.8^2 + 40 ^ 2</f>
        <v>3264.64</v>
      </c>
      <c r="K12" t="s">
        <v>40</v>
      </c>
      <c r="L12">
        <f>E23</f>
        <v>24</v>
      </c>
    </row>
    <row r="13" spans="2:12" x14ac:dyDescent="0.4">
      <c r="G13">
        <f>G12^0.5</f>
        <v>57.137028274141102</v>
      </c>
      <c r="K13" t="s">
        <v>41</v>
      </c>
      <c r="L13">
        <f>C23</f>
        <v>68</v>
      </c>
    </row>
    <row r="14" spans="2:12" x14ac:dyDescent="0.4">
      <c r="B14">
        <f>40/40.8*57.1</f>
        <v>55.980392156862749</v>
      </c>
    </row>
    <row r="15" spans="2:12" x14ac:dyDescent="0.4">
      <c r="K15" t="s">
        <v>42</v>
      </c>
      <c r="L15">
        <f>(L13*(L8+L10))/(L8*L13-L11*L10)</f>
        <v>-28.333333333333332</v>
      </c>
    </row>
    <row r="16" spans="2:12" x14ac:dyDescent="0.4">
      <c r="G16">
        <f>56^2 + 57.1^2</f>
        <v>6396.41</v>
      </c>
      <c r="K16" t="s">
        <v>44</v>
      </c>
      <c r="L16" t="s">
        <v>45</v>
      </c>
    </row>
    <row r="17" spans="1:20" x14ac:dyDescent="0.4">
      <c r="G17">
        <f>G16^0.5</f>
        <v>79.977559352608409</v>
      </c>
    </row>
    <row r="19" spans="1:20" x14ac:dyDescent="0.4">
      <c r="E19">
        <f>ACOS(56/G17)</f>
        <v>0.79512376302411192</v>
      </c>
      <c r="R19" t="s">
        <v>50</v>
      </c>
      <c r="S19">
        <v>0.2</v>
      </c>
      <c r="T19" t="s">
        <v>49</v>
      </c>
    </row>
    <row r="20" spans="1:20" x14ac:dyDescent="0.4">
      <c r="E20">
        <f>DEGREES(E19)</f>
        <v>45.557235811841835</v>
      </c>
      <c r="F20">
        <f>90-E20</f>
        <v>44.442764188158165</v>
      </c>
    </row>
    <row r="21" spans="1:20" x14ac:dyDescent="0.4">
      <c r="B21" t="s">
        <v>14</v>
      </c>
      <c r="C21" t="s">
        <v>15</v>
      </c>
      <c r="D21" t="s">
        <v>16</v>
      </c>
      <c r="E21" t="s">
        <v>17</v>
      </c>
      <c r="G21" t="s">
        <v>18</v>
      </c>
      <c r="H21" t="s">
        <v>19</v>
      </c>
      <c r="I21" t="s">
        <v>20</v>
      </c>
      <c r="J21" t="s">
        <v>21</v>
      </c>
      <c r="K21" t="s">
        <v>22</v>
      </c>
      <c r="L21" t="s">
        <v>26</v>
      </c>
      <c r="M21" t="s">
        <v>23</v>
      </c>
      <c r="N21" t="s">
        <v>24</v>
      </c>
      <c r="O21" t="s">
        <v>25</v>
      </c>
      <c r="P21" t="s">
        <v>31</v>
      </c>
      <c r="R21" t="s">
        <v>47</v>
      </c>
      <c r="S21" t="s">
        <v>48</v>
      </c>
      <c r="T21" t="s">
        <v>51</v>
      </c>
    </row>
    <row r="22" spans="1:20" x14ac:dyDescent="0.4">
      <c r="A22" t="s">
        <v>27</v>
      </c>
      <c r="B22">
        <v>16</v>
      </c>
      <c r="C22">
        <v>64</v>
      </c>
      <c r="D22">
        <v>4</v>
      </c>
      <c r="E22">
        <f>(C22-B22)/2</f>
        <v>24</v>
      </c>
      <c r="G22">
        <f>I22+J22</f>
        <v>32</v>
      </c>
      <c r="H22">
        <v>1.6</v>
      </c>
      <c r="I22">
        <f>B22*H22/2</f>
        <v>12.8</v>
      </c>
      <c r="J22">
        <f>H22*E22/2</f>
        <v>19.200000000000003</v>
      </c>
      <c r="K22">
        <f>H22*C22/2</f>
        <v>51.2</v>
      </c>
      <c r="L22">
        <v>8</v>
      </c>
      <c r="M22">
        <f>L22*B22*2</f>
        <v>256</v>
      </c>
      <c r="N22">
        <f>L22*C22*2</f>
        <v>1024</v>
      </c>
      <c r="O22">
        <f>L22*E22*2</f>
        <v>384</v>
      </c>
      <c r="P22" s="1">
        <f>B22/C22</f>
        <v>0.25</v>
      </c>
      <c r="R22">
        <f>(B22*H22-2*$S$19)/B22</f>
        <v>1.5750000000000002</v>
      </c>
      <c r="S22">
        <f>(C22*H22+2*$S$19)/C22</f>
        <v>1.6062500000000002</v>
      </c>
      <c r="T22">
        <f>(B22*H22-2*$S$19)/B22</f>
        <v>1.5750000000000002</v>
      </c>
    </row>
    <row r="23" spans="1:20" x14ac:dyDescent="0.4">
      <c r="A23" t="s">
        <v>28</v>
      </c>
      <c r="B23">
        <v>20</v>
      </c>
      <c r="C23">
        <v>68</v>
      </c>
      <c r="D23">
        <v>4</v>
      </c>
      <c r="E23">
        <f>(C23-B23)/2</f>
        <v>24</v>
      </c>
      <c r="G23">
        <f>I23+J23</f>
        <v>31.998999999999999</v>
      </c>
      <c r="H23">
        <v>1.4544999999999999</v>
      </c>
      <c r="I23">
        <f>B23*H23/2</f>
        <v>14.544999999999998</v>
      </c>
      <c r="J23">
        <f>H23*E23/2</f>
        <v>17.454000000000001</v>
      </c>
      <c r="K23">
        <f>H23*C23/2</f>
        <v>49.452999999999996</v>
      </c>
      <c r="L23">
        <v>8</v>
      </c>
      <c r="M23">
        <f>L23*B23*2</f>
        <v>320</v>
      </c>
      <c r="N23">
        <f>L23*C23*2</f>
        <v>1088</v>
      </c>
      <c r="O23">
        <f>L23*E23*2</f>
        <v>384</v>
      </c>
      <c r="P23" s="1">
        <f>L15</f>
        <v>-28.333333333333332</v>
      </c>
      <c r="R23">
        <f>(B23*H23-2*$S$19)/B23</f>
        <v>1.4344999999999999</v>
      </c>
      <c r="S23">
        <f>(C23*H23+2*$S$19)/C23</f>
        <v>1.4603823529411764</v>
      </c>
      <c r="T23">
        <f>(B23*H23-2*$S$19)/B23</f>
        <v>1.4344999999999999</v>
      </c>
    </row>
    <row r="24" spans="1:20" x14ac:dyDescent="0.4">
      <c r="P24" s="1"/>
    </row>
    <row r="26" spans="1:20" x14ac:dyDescent="0.4">
      <c r="B26" t="s">
        <v>29</v>
      </c>
      <c r="I26" t="s">
        <v>32</v>
      </c>
      <c r="J26" t="s">
        <v>33</v>
      </c>
      <c r="K26" t="s">
        <v>34</v>
      </c>
    </row>
    <row r="27" spans="1:20" x14ac:dyDescent="0.4">
      <c r="B27">
        <v>60</v>
      </c>
      <c r="D27" t="s">
        <v>30</v>
      </c>
      <c r="G27">
        <f>80/86</f>
        <v>0.93023255813953487</v>
      </c>
      <c r="I27">
        <v>7000</v>
      </c>
      <c r="J27">
        <f>I27*P22</f>
        <v>1750</v>
      </c>
      <c r="K27">
        <f>J27/P23</f>
        <v>-61.764705882352942</v>
      </c>
    </row>
    <row r="28" spans="1:20" x14ac:dyDescent="0.4">
      <c r="K28" t="s">
        <v>43</v>
      </c>
    </row>
    <row r="29" spans="1:20" x14ac:dyDescent="0.4">
      <c r="B29" t="s">
        <v>12</v>
      </c>
    </row>
    <row r="30" spans="1:20" x14ac:dyDescent="0.4">
      <c r="B30" t="s">
        <v>13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Whitman</dc:creator>
  <cp:lastModifiedBy>Josh Whitman</cp:lastModifiedBy>
  <dcterms:created xsi:type="dcterms:W3CDTF">2020-10-21T15:25:06Z</dcterms:created>
  <dcterms:modified xsi:type="dcterms:W3CDTF">2020-10-26T18:06:21Z</dcterms:modified>
</cp:coreProperties>
</file>